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vailj1_michigan_gov/Documents/Executive/"/>
    </mc:Choice>
  </mc:AlternateContent>
  <xr:revisionPtr revIDLastSave="0" documentId="8_{08BB8860-A09F-4412-8ED3-7F5CC4F7F6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tal # By Region who need PSH" sheetId="1" r:id="rId1"/>
    <sheet name="PSH Cost Assumptions" sheetId="3" r:id="rId2"/>
    <sheet name="Cost to Serve Total # for PS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C8" i="3"/>
  <c r="B8" i="3"/>
  <c r="E8" i="3" s="1"/>
  <c r="F8" i="3" l="1"/>
  <c r="E7" i="1"/>
  <c r="E16" i="3" l="1"/>
  <c r="E9" i="3"/>
  <c r="B9" i="3"/>
  <c r="C9" i="3"/>
  <c r="D9" i="3"/>
  <c r="B16" i="3"/>
  <c r="C16" i="3"/>
  <c r="D16" i="3"/>
  <c r="B22" i="3"/>
  <c r="E22" i="3" s="1"/>
  <c r="C22" i="3"/>
  <c r="D22" i="3"/>
  <c r="F22" i="3" l="1"/>
  <c r="F9" i="3"/>
  <c r="F16" i="3"/>
  <c r="D52" i="3"/>
  <c r="C52" i="3"/>
  <c r="B52" i="3"/>
  <c r="E52" i="3" s="1"/>
  <c r="D46" i="3"/>
  <c r="C46" i="3"/>
  <c r="B46" i="3"/>
  <c r="D40" i="3"/>
  <c r="C40" i="3"/>
  <c r="B40" i="3"/>
  <c r="E40" i="3" s="1"/>
  <c r="D34" i="3"/>
  <c r="C34" i="3"/>
  <c r="B34" i="3"/>
  <c r="E34" i="3" s="1"/>
  <c r="D28" i="3"/>
  <c r="C28" i="3"/>
  <c r="B28" i="3"/>
  <c r="E28" i="3" l="1"/>
  <c r="E46" i="3"/>
  <c r="D6" i="2"/>
  <c r="F40" i="3"/>
  <c r="D10" i="2" s="1"/>
  <c r="F52" i="3"/>
  <c r="D12" i="2" s="1"/>
  <c r="D7" i="2"/>
  <c r="F34" i="3"/>
  <c r="D9" i="2" s="1"/>
  <c r="F46" i="3"/>
  <c r="D11" i="2" s="1"/>
  <c r="F28" i="3"/>
  <c r="D8" i="2" s="1"/>
  <c r="F13" i="1" l="1"/>
  <c r="C13" i="1"/>
  <c r="D13" i="1"/>
  <c r="E13" i="1" s="1"/>
  <c r="B13" i="1"/>
  <c r="H6" i="1"/>
  <c r="I6" i="1" s="1"/>
  <c r="J6" i="1" s="1"/>
  <c r="H7" i="1"/>
  <c r="I7" i="1" s="1"/>
  <c r="J7" i="1" s="1"/>
  <c r="B8" i="2" s="1"/>
  <c r="H8" i="1"/>
  <c r="I8" i="1" s="1"/>
  <c r="J8" i="1" s="1"/>
  <c r="B9" i="2" s="1"/>
  <c r="H9" i="1"/>
  <c r="I9" i="1" s="1"/>
  <c r="J9" i="1" s="1"/>
  <c r="B10" i="2" s="1"/>
  <c r="H10" i="1"/>
  <c r="I10" i="1" s="1"/>
  <c r="J10" i="1" s="1"/>
  <c r="B11" i="2" s="1"/>
  <c r="H11" i="1"/>
  <c r="I11" i="1" s="1"/>
  <c r="J11" i="1" s="1"/>
  <c r="B12" i="2" s="1"/>
  <c r="H5" i="1"/>
  <c r="I5" i="1" s="1"/>
  <c r="J5" i="1" s="1"/>
  <c r="B6" i="2" s="1"/>
  <c r="G6" i="1"/>
  <c r="G7" i="1"/>
  <c r="G8" i="1"/>
  <c r="G9" i="1"/>
  <c r="G10" i="1"/>
  <c r="G11" i="1"/>
  <c r="G5" i="1"/>
  <c r="E6" i="1"/>
  <c r="E8" i="1"/>
  <c r="E9" i="1"/>
  <c r="E10" i="1"/>
  <c r="E11" i="1"/>
  <c r="E5" i="1"/>
  <c r="G13" i="1" l="1"/>
  <c r="E9" i="2"/>
  <c r="E10" i="2"/>
  <c r="E8" i="2"/>
  <c r="B7" i="2"/>
  <c r="B13" i="2" s="1"/>
  <c r="C6" i="2" s="1"/>
  <c r="J13" i="1"/>
  <c r="E12" i="2"/>
  <c r="E11" i="2"/>
  <c r="E6" i="2"/>
  <c r="H13" i="1"/>
  <c r="I13" i="1" s="1"/>
  <c r="C8" i="2" l="1"/>
  <c r="C9" i="2"/>
  <c r="E7" i="2"/>
  <c r="C7" i="2"/>
  <c r="C11" i="2"/>
  <c r="C10" i="2"/>
  <c r="C12" i="2"/>
  <c r="E13" i="2"/>
  <c r="F6" i="2" s="1"/>
  <c r="F7" i="2" l="1"/>
  <c r="F10" i="2"/>
  <c r="F8" i="2"/>
  <c r="F9" i="2"/>
  <c r="F11" i="2"/>
  <c r="F12" i="2"/>
</calcChain>
</file>

<file path=xl/sharedStrings.xml><?xml version="1.0" encoding="utf-8"?>
<sst xmlns="http://schemas.openxmlformats.org/spreadsheetml/2006/main" count="157" uniqueCount="67">
  <si>
    <t>Region</t>
  </si>
  <si>
    <t>Total # of People Experiencing Homelessness</t>
  </si>
  <si>
    <t>Region 1</t>
  </si>
  <si>
    <t>Region 2</t>
  </si>
  <si>
    <t>Region 3</t>
  </si>
  <si>
    <t>Region 4</t>
  </si>
  <si>
    <t>Region 5</t>
  </si>
  <si>
    <t>Region 6</t>
  </si>
  <si>
    <t>Region 7, 8, 9</t>
  </si>
  <si>
    <t>Total VISPDAT Assessment Completed (RRH or PSH)</t>
  </si>
  <si>
    <t>Source: MIBoS Aggregate Data</t>
  </si>
  <si>
    <t>Column E: Total Unsheltered Homeless Count Served</t>
  </si>
  <si>
    <t>Added Column: Column K + L + M + N</t>
  </si>
  <si>
    <t>Calculation this spreadsheet: Column D/C</t>
  </si>
  <si>
    <t>Calculation this spreadsheet: Column F/C</t>
  </si>
  <si>
    <t>Calculation this spreadsheet: D + F</t>
  </si>
  <si>
    <t>Calculation this spreadsheet: Column H/C</t>
  </si>
  <si>
    <t>Totals for BoS</t>
  </si>
  <si>
    <t>Calculation this spreadsheet: Apply % in Column I to Total in Column B</t>
  </si>
  <si>
    <t>Service Costs</t>
  </si>
  <si>
    <t>Housing Costs</t>
  </si>
  <si>
    <t>Operating and Other Client Costs</t>
  </si>
  <si>
    <t>Admin Costs</t>
  </si>
  <si>
    <t>Monthly Cost</t>
  </si>
  <si>
    <t>2 BR FMR 2021 MSA Rates = $827; 1 BR MSA = $632; 2 BR Local Area = $770; 1 BR Local Area = $584</t>
  </si>
  <si>
    <t>2 Months Security Deposit at $827 = 1,654 + $800 per client for food, transportation, etc.</t>
  </si>
  <si>
    <t>REGION 1</t>
  </si>
  <si>
    <t>REGION 2</t>
  </si>
  <si>
    <t>REGION 3</t>
  </si>
  <si>
    <t>REGION 4</t>
  </si>
  <si>
    <t>REGION 5</t>
  </si>
  <si>
    <t>REGION 6</t>
  </si>
  <si>
    <t>REGION 7, 8, 9</t>
  </si>
  <si>
    <t># of Singles Scored for PSH</t>
  </si>
  <si>
    <t>% of Singles Scored for PSH (based on # of VISPDAT Score/Total Scored)</t>
  </si>
  <si>
    <t># of Families Scored for PSH</t>
  </si>
  <si>
    <t>% of Families Scored for PSH (based on VISPDAT Score/Total Scored)</t>
  </si>
  <si>
    <t>Total # of Homeless who Score for PSH (Singles and Families)</t>
  </si>
  <si>
    <t>Total % of Homeless who score for PSH (Singles and Families)</t>
  </si>
  <si>
    <t>Column K: # of VISPDAT score singles PSH</t>
  </si>
  <si>
    <t>Column M: # of VISPDAT score families PSH</t>
  </si>
  <si>
    <t>% of Total Homeless who may need PSH</t>
  </si>
  <si>
    <t>1:15 CM Ratio; Supervision/Admin/1.0 FTE CM (CM Salary $40k + 40% Fringe) = $120,000 per year/12 months/10 clients = $1,000/HH/month</t>
  </si>
  <si>
    <t>Total Cost to Serve HH in PSH</t>
  </si>
  <si>
    <t>PSH 12 Months</t>
  </si>
  <si>
    <t>Column J from Total # by Region who need PSH</t>
  </si>
  <si>
    <t>From PSH Cost Assumptions tab</t>
  </si>
  <si>
    <t>Total Cost to Serve HH in PSH for 12 Months</t>
  </si>
  <si>
    <t>Current Inventory (2020 HIC)</t>
  </si>
  <si>
    <t>Turnover Rate</t>
  </si>
  <si>
    <t>Total Cost to Serve all HHs who need PSH for 12 months</t>
  </si>
  <si>
    <t>Calculation: Column B*C</t>
  </si>
  <si>
    <t>Calculation: Column D/Total Cost</t>
  </si>
  <si>
    <t>Total</t>
  </si>
  <si>
    <t>% of Whole for Costs</t>
  </si>
  <si>
    <t>% of Total Homeless who may need PSH (of the Whole)</t>
  </si>
  <si>
    <t>Calculation: Column B/Total Persons</t>
  </si>
  <si>
    <t># of Total Homeless who may need PSH</t>
  </si>
  <si>
    <t>Green Cells are editable</t>
  </si>
  <si>
    <t>Gray cells are Calculations and Locked for Editing</t>
  </si>
  <si>
    <t>Blue cells are Transfers from another Tab and Locked for Editing</t>
  </si>
  <si>
    <t>PSH COST ASSUMPTIONS</t>
  </si>
  <si>
    <t>General MI BoS Cost Assumptions</t>
  </si>
  <si>
    <t>Analysis of PSH Need by Region</t>
  </si>
  <si>
    <t>10% of Total Cost</t>
  </si>
  <si>
    <t>Cost Assumptions</t>
  </si>
  <si>
    <t>PSH 1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</si>
</sst>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0" fillId="0" borderId="0" xfId="1" applyNumberFormat="1" applyFont="1"/>
    <xf numFmtId="9" fontId="2" fillId="0" borderId="0" xfId="0" applyNumberFormat="1" applyFont="1"/>
    <xf numFmtId="0" fontId="2" fillId="0" borderId="1" xfId="2"/>
    <xf numFmtId="164" fontId="2" fillId="0" borderId="1" xfId="2" applyNumberFormat="1"/>
    <xf numFmtId="9" fontId="2" fillId="0" borderId="1" xfId="2" applyNumberFormat="1"/>
    <xf numFmtId="0" fontId="2" fillId="0" borderId="1" xfId="2" applyNumberFormat="1"/>
    <xf numFmtId="1" fontId="0" fillId="0" borderId="0" xfId="0" applyNumberFormat="1"/>
    <xf numFmtId="1" fontId="2" fillId="0" borderId="1" xfId="2" applyNumberFormat="1"/>
    <xf numFmtId="6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6" fontId="0" fillId="2" borderId="0" xfId="0" applyNumberFormat="1" applyFill="1"/>
    <xf numFmtId="1" fontId="0" fillId="2" borderId="0" xfId="0" applyNumberFormat="1" applyFill="1"/>
    <xf numFmtId="0" fontId="4" fillId="0" borderId="0" xfId="0" applyFont="1"/>
    <xf numFmtId="0" fontId="5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4" fillId="9" borderId="0" xfId="0" applyFont="1" applyFill="1"/>
    <xf numFmtId="44" fontId="0" fillId="0" borderId="0" xfId="3" applyFont="1"/>
    <xf numFmtId="165" fontId="0" fillId="0" borderId="0" xfId="3" applyNumberFormat="1" applyFont="1"/>
    <xf numFmtId="9" fontId="0" fillId="2" borderId="0" xfId="1" applyFont="1" applyFill="1"/>
    <xf numFmtId="0" fontId="0" fillId="2" borderId="0" xfId="1" applyNumberFormat="1" applyFont="1" applyFill="1"/>
    <xf numFmtId="0" fontId="0" fillId="12" borderId="0" xfId="0" applyFill="1"/>
    <xf numFmtId="165" fontId="0" fillId="2" borderId="0" xfId="3" applyNumberFormat="1" applyFont="1" applyFill="1"/>
    <xf numFmtId="0" fontId="0" fillId="2" borderId="0" xfId="0" applyFill="1"/>
    <xf numFmtId="0" fontId="0" fillId="11" borderId="0" xfId="0" applyFill="1"/>
    <xf numFmtId="0" fontId="0" fillId="10" borderId="0" xfId="0" applyFill="1"/>
    <xf numFmtId="0" fontId="0" fillId="10" borderId="2" xfId="0" applyFill="1" applyBorder="1"/>
    <xf numFmtId="0" fontId="0" fillId="0" borderId="3" xfId="0" applyBorder="1" applyAlignment="1">
      <alignment wrapText="1"/>
    </xf>
    <xf numFmtId="0" fontId="0" fillId="10" borderId="3" xfId="0" applyFill="1" applyBorder="1" applyAlignment="1">
      <alignment wrapText="1"/>
    </xf>
    <xf numFmtId="0" fontId="0" fillId="3" borderId="3" xfId="0" applyFill="1" applyBorder="1"/>
    <xf numFmtId="1" fontId="0" fillId="11" borderId="3" xfId="0" applyNumberFormat="1" applyFill="1" applyBorder="1" applyAlignment="1">
      <alignment wrapText="1"/>
    </xf>
    <xf numFmtId="9" fontId="0" fillId="2" borderId="3" xfId="1" applyFont="1" applyFill="1" applyBorder="1" applyAlignment="1">
      <alignment wrapText="1"/>
    </xf>
    <xf numFmtId="6" fontId="0" fillId="11" borderId="3" xfId="0" applyNumberFormat="1" applyFill="1" applyBorder="1"/>
    <xf numFmtId="6" fontId="0" fillId="2" borderId="3" xfId="0" applyNumberFormat="1" applyFill="1" applyBorder="1"/>
    <xf numFmtId="9" fontId="0" fillId="2" borderId="3" xfId="1" applyFont="1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1" fontId="0" fillId="2" borderId="3" xfId="0" applyNumberFormat="1" applyFill="1" applyBorder="1" applyAlignment="1">
      <alignment wrapText="1"/>
    </xf>
    <xf numFmtId="1" fontId="0" fillId="0" borderId="3" xfId="0" applyNumberFormat="1" applyBorder="1" applyAlignment="1">
      <alignment wrapText="1"/>
    </xf>
    <xf numFmtId="0" fontId="0" fillId="12" borderId="0" xfId="0" applyFill="1" applyProtection="1">
      <protection locked="0"/>
    </xf>
    <xf numFmtId="0" fontId="3" fillId="12" borderId="0" xfId="0" applyFont="1" applyFill="1" applyAlignment="1" applyProtection="1">
      <alignment wrapText="1"/>
      <protection locked="0"/>
    </xf>
    <xf numFmtId="6" fontId="0" fillId="12" borderId="0" xfId="0" applyNumberFormat="1" applyFill="1" applyAlignment="1" applyProtection="1">
      <alignment wrapText="1"/>
      <protection locked="0"/>
    </xf>
    <xf numFmtId="10" fontId="0" fillId="12" borderId="0" xfId="0" applyNumberFormat="1" applyFill="1" applyAlignment="1" applyProtection="1">
      <alignment wrapText="1"/>
      <protection locked="0"/>
    </xf>
    <xf numFmtId="165" fontId="0" fillId="0" borderId="0" xfId="3" applyNumberFormat="1" applyFont="1" applyAlignment="1">
      <alignment wrapText="1"/>
    </xf>
  </cellXfs>
  <cellStyles count="4">
    <cellStyle name="Currency" xfId="3" builtinId="4"/>
    <cellStyle name="Normal" xfId="0" builtinId="0"/>
    <cellStyle name="Percent" xfId="1" builtin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F5" sqref="F5"/>
    </sheetView>
  </sheetViews>
  <sheetFormatPr defaultRowHeight="14.4" x14ac:dyDescent="0.3"/>
  <cols>
    <col min="1" max="1" width="17.33203125" customWidth="1"/>
    <col min="2" max="13" width="18.77734375" customWidth="1"/>
  </cols>
  <sheetData>
    <row r="1" spans="1:10" x14ac:dyDescent="0.3">
      <c r="A1" s="39" t="s">
        <v>58</v>
      </c>
      <c r="B1" s="39"/>
      <c r="C1" s="41" t="s">
        <v>59</v>
      </c>
      <c r="D1" s="41"/>
      <c r="E1" s="41"/>
      <c r="F1" s="42" t="s">
        <v>60</v>
      </c>
      <c r="G1" s="42"/>
      <c r="H1" s="42"/>
    </row>
    <row r="2" spans="1:10" ht="28.95" customHeight="1" x14ac:dyDescent="0.3">
      <c r="A2" s="44"/>
      <c r="B2" s="44"/>
      <c r="C2" s="44"/>
      <c r="D2" s="44"/>
      <c r="E2" s="44"/>
      <c r="F2" s="44"/>
      <c r="G2" s="44"/>
      <c r="H2" s="44"/>
    </row>
    <row r="3" spans="1:10" s="1" customFormat="1" ht="57.6" x14ac:dyDescent="0.3">
      <c r="A3" s="1" t="s">
        <v>0</v>
      </c>
      <c r="B3" s="1" t="s">
        <v>1</v>
      </c>
      <c r="C3" s="1" t="s">
        <v>9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41</v>
      </c>
    </row>
    <row r="4" spans="1:10" s="1" customFormat="1" ht="57.6" x14ac:dyDescent="0.3">
      <c r="A4" s="15" t="s">
        <v>10</v>
      </c>
      <c r="B4" s="15" t="s">
        <v>11</v>
      </c>
      <c r="C4" s="15" t="s">
        <v>12</v>
      </c>
      <c r="D4" s="15" t="s">
        <v>39</v>
      </c>
      <c r="E4" s="15" t="s">
        <v>13</v>
      </c>
      <c r="F4" s="15" t="s">
        <v>40</v>
      </c>
      <c r="G4" s="15" t="s">
        <v>14</v>
      </c>
      <c r="H4" s="15" t="s">
        <v>15</v>
      </c>
      <c r="I4" s="15" t="s">
        <v>16</v>
      </c>
      <c r="J4" s="15" t="s">
        <v>18</v>
      </c>
    </row>
    <row r="5" spans="1:10" x14ac:dyDescent="0.3">
      <c r="A5" s="20" t="s">
        <v>2</v>
      </c>
      <c r="B5" s="62">
        <v>926</v>
      </c>
      <c r="C5" s="62">
        <v>464</v>
      </c>
      <c r="D5" s="62">
        <v>73</v>
      </c>
      <c r="E5" s="37">
        <f>D5/C5</f>
        <v>0.15732758620689655</v>
      </c>
      <c r="F5" s="62">
        <v>88</v>
      </c>
      <c r="G5" s="37">
        <f>F5/C5</f>
        <v>0.18965517241379309</v>
      </c>
      <c r="H5" s="38">
        <f>D5+F5</f>
        <v>161</v>
      </c>
      <c r="I5" s="37">
        <f>H5/C5</f>
        <v>0.34698275862068967</v>
      </c>
      <c r="J5" s="18">
        <f>I5*B5</f>
        <v>321.30603448275861</v>
      </c>
    </row>
    <row r="6" spans="1:10" x14ac:dyDescent="0.3">
      <c r="A6" s="21" t="s">
        <v>3</v>
      </c>
      <c r="B6" s="62">
        <v>657</v>
      </c>
      <c r="C6" s="62">
        <v>284</v>
      </c>
      <c r="D6" s="62">
        <v>36</v>
      </c>
      <c r="E6" s="37">
        <f t="shared" ref="E6:E13" si="0">D6/C6</f>
        <v>0.12676056338028169</v>
      </c>
      <c r="F6" s="62">
        <v>23</v>
      </c>
      <c r="G6" s="37">
        <f t="shared" ref="G6:G13" si="1">F6/C6</f>
        <v>8.098591549295775E-2</v>
      </c>
      <c r="H6" s="38">
        <f t="shared" ref="H6:H13" si="2">D6+F6</f>
        <v>59</v>
      </c>
      <c r="I6" s="37">
        <f t="shared" ref="I6:I13" si="3">H6/C6</f>
        <v>0.20774647887323944</v>
      </c>
      <c r="J6" s="18">
        <f t="shared" ref="J6:J11" si="4">I6*B6</f>
        <v>136.4894366197183</v>
      </c>
    </row>
    <row r="7" spans="1:10" x14ac:dyDescent="0.3">
      <c r="A7" s="22" t="s">
        <v>4</v>
      </c>
      <c r="B7" s="62">
        <v>1090</v>
      </c>
      <c r="C7" s="62">
        <v>326</v>
      </c>
      <c r="D7" s="62">
        <v>50</v>
      </c>
      <c r="E7" s="37">
        <f t="shared" si="0"/>
        <v>0.15337423312883436</v>
      </c>
      <c r="F7" s="62">
        <v>35</v>
      </c>
      <c r="G7" s="37">
        <f t="shared" si="1"/>
        <v>0.10736196319018405</v>
      </c>
      <c r="H7" s="38">
        <f t="shared" si="2"/>
        <v>85</v>
      </c>
      <c r="I7" s="37">
        <f t="shared" si="3"/>
        <v>0.2607361963190184</v>
      </c>
      <c r="J7" s="18">
        <f t="shared" si="4"/>
        <v>284.20245398773005</v>
      </c>
    </row>
    <row r="8" spans="1:10" x14ac:dyDescent="0.3">
      <c r="A8" s="23" t="s">
        <v>5</v>
      </c>
      <c r="B8" s="62">
        <v>2017</v>
      </c>
      <c r="C8" s="62">
        <v>876</v>
      </c>
      <c r="D8" s="62">
        <v>177</v>
      </c>
      <c r="E8" s="37">
        <f t="shared" si="0"/>
        <v>0.20205479452054795</v>
      </c>
      <c r="F8" s="62">
        <v>190</v>
      </c>
      <c r="G8" s="37">
        <f t="shared" si="1"/>
        <v>0.21689497716894976</v>
      </c>
      <c r="H8" s="38">
        <f t="shared" si="2"/>
        <v>367</v>
      </c>
      <c r="I8" s="37">
        <f t="shared" si="3"/>
        <v>0.41894977168949771</v>
      </c>
      <c r="J8" s="18">
        <f t="shared" si="4"/>
        <v>845.02168949771692</v>
      </c>
    </row>
    <row r="9" spans="1:10" x14ac:dyDescent="0.3">
      <c r="A9" s="24" t="s">
        <v>6</v>
      </c>
      <c r="B9" s="62">
        <v>2240</v>
      </c>
      <c r="C9" s="62">
        <v>827</v>
      </c>
      <c r="D9" s="62">
        <v>146</v>
      </c>
      <c r="E9" s="37">
        <f t="shared" si="0"/>
        <v>0.17654171704957677</v>
      </c>
      <c r="F9" s="62">
        <v>117</v>
      </c>
      <c r="G9" s="37">
        <f t="shared" si="1"/>
        <v>0.14147521160822249</v>
      </c>
      <c r="H9" s="38">
        <f t="shared" si="2"/>
        <v>263</v>
      </c>
      <c r="I9" s="37">
        <f t="shared" si="3"/>
        <v>0.31801692865779929</v>
      </c>
      <c r="J9" s="18">
        <f t="shared" si="4"/>
        <v>712.35792019347036</v>
      </c>
    </row>
    <row r="10" spans="1:10" x14ac:dyDescent="0.3">
      <c r="A10" s="25" t="s">
        <v>7</v>
      </c>
      <c r="B10" s="62">
        <v>1416</v>
      </c>
      <c r="C10" s="62">
        <v>698</v>
      </c>
      <c r="D10" s="62">
        <v>179</v>
      </c>
      <c r="E10" s="37">
        <f t="shared" si="0"/>
        <v>0.25644699140401145</v>
      </c>
      <c r="F10" s="62">
        <v>116</v>
      </c>
      <c r="G10" s="37">
        <f t="shared" si="1"/>
        <v>0.166189111747851</v>
      </c>
      <c r="H10" s="38">
        <f t="shared" si="2"/>
        <v>295</v>
      </c>
      <c r="I10" s="37">
        <f t="shared" si="3"/>
        <v>0.42263610315186245</v>
      </c>
      <c r="J10" s="18">
        <f t="shared" si="4"/>
        <v>598.45272206303719</v>
      </c>
    </row>
    <row r="11" spans="1:10" x14ac:dyDescent="0.3">
      <c r="A11" s="26" t="s">
        <v>8</v>
      </c>
      <c r="B11" s="62">
        <v>2492</v>
      </c>
      <c r="C11" s="62">
        <v>868</v>
      </c>
      <c r="D11" s="62">
        <v>183</v>
      </c>
      <c r="E11" s="37">
        <f t="shared" si="0"/>
        <v>0.21082949308755761</v>
      </c>
      <c r="F11" s="62">
        <v>128</v>
      </c>
      <c r="G11" s="37">
        <f t="shared" si="1"/>
        <v>0.14746543778801843</v>
      </c>
      <c r="H11" s="38">
        <f t="shared" si="2"/>
        <v>311</v>
      </c>
      <c r="I11" s="37">
        <f t="shared" si="3"/>
        <v>0.35829493087557601</v>
      </c>
      <c r="J11" s="18">
        <f t="shared" si="4"/>
        <v>892.87096774193537</v>
      </c>
    </row>
    <row r="12" spans="1:10" x14ac:dyDescent="0.3">
      <c r="E12" s="2"/>
      <c r="G12" s="2"/>
      <c r="H12" s="3"/>
      <c r="I12" s="2"/>
      <c r="J12" s="9"/>
    </row>
    <row r="13" spans="1:10" ht="15" thickBot="1" x14ac:dyDescent="0.35">
      <c r="A13" s="5" t="s">
        <v>17</v>
      </c>
      <c r="B13" s="6">
        <f>SUM(B5:B11)</f>
        <v>10838</v>
      </c>
      <c r="C13" s="6">
        <f t="shared" ref="C13:D13" si="5">SUM(C5:C11)</f>
        <v>4343</v>
      </c>
      <c r="D13" s="6">
        <f t="shared" si="5"/>
        <v>844</v>
      </c>
      <c r="E13" s="7">
        <f t="shared" si="0"/>
        <v>0.19433571264103155</v>
      </c>
      <c r="F13" s="5">
        <f>SUM(F5:F11)</f>
        <v>697</v>
      </c>
      <c r="G13" s="7">
        <f t="shared" si="1"/>
        <v>0.16048814183743956</v>
      </c>
      <c r="H13" s="8">
        <f t="shared" si="2"/>
        <v>1541</v>
      </c>
      <c r="I13" s="7">
        <f t="shared" si="3"/>
        <v>0.35482385447847109</v>
      </c>
      <c r="J13" s="10">
        <f>SUM(J5:J11)</f>
        <v>3790.7012245863671</v>
      </c>
    </row>
    <row r="14" spans="1:10" ht="15" thickTop="1" x14ac:dyDescent="0.3">
      <c r="I14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workbookViewId="0">
      <selection activeCell="G8" sqref="G8"/>
    </sheetView>
  </sheetViews>
  <sheetFormatPr defaultRowHeight="14.4" x14ac:dyDescent="0.3"/>
  <cols>
    <col min="1" max="1" width="17.88671875" customWidth="1"/>
    <col min="2" max="2" width="17.33203125" customWidth="1"/>
    <col min="3" max="3" width="17.77734375" customWidth="1"/>
    <col min="4" max="4" width="17.5546875" customWidth="1"/>
    <col min="5" max="5" width="17.6640625" customWidth="1"/>
    <col min="6" max="6" width="15.77734375" customWidth="1"/>
  </cols>
  <sheetData>
    <row r="1" spans="1:11" x14ac:dyDescent="0.3">
      <c r="A1" s="19" t="s">
        <v>61</v>
      </c>
    </row>
    <row r="2" spans="1:11" x14ac:dyDescent="0.3">
      <c r="A2" s="39" t="s">
        <v>58</v>
      </c>
      <c r="B2" s="39"/>
      <c r="C2" s="41" t="s">
        <v>59</v>
      </c>
      <c r="D2" s="41"/>
      <c r="E2" s="41"/>
      <c r="F2" s="42" t="s">
        <v>60</v>
      </c>
      <c r="G2" s="42"/>
      <c r="H2" s="42"/>
      <c r="I2" s="42"/>
      <c r="J2" s="42"/>
      <c r="K2" s="42"/>
    </row>
    <row r="3" spans="1:11" x14ac:dyDescent="0.3">
      <c r="A3" s="19"/>
    </row>
    <row r="4" spans="1:11" x14ac:dyDescent="0.3">
      <c r="A4" s="19" t="s">
        <v>62</v>
      </c>
    </row>
    <row r="5" spans="1:11" ht="28.8" x14ac:dyDescent="0.3">
      <c r="B5" s="1" t="s">
        <v>19</v>
      </c>
      <c r="C5" s="1" t="s">
        <v>20</v>
      </c>
      <c r="D5" s="1" t="s">
        <v>21</v>
      </c>
      <c r="E5" s="1" t="s">
        <v>22</v>
      </c>
      <c r="F5" s="1" t="s">
        <v>43</v>
      </c>
    </row>
    <row r="6" spans="1:11" ht="115.2" x14ac:dyDescent="0.3">
      <c r="A6" s="14"/>
      <c r="B6" s="15" t="s">
        <v>42</v>
      </c>
      <c r="C6" s="15" t="s">
        <v>24</v>
      </c>
      <c r="D6" s="15" t="s">
        <v>25</v>
      </c>
      <c r="E6" s="15" t="s">
        <v>64</v>
      </c>
      <c r="F6" s="1"/>
    </row>
    <row r="7" spans="1:11" x14ac:dyDescent="0.3">
      <c r="A7" t="s">
        <v>65</v>
      </c>
      <c r="B7" s="11">
        <v>1000</v>
      </c>
      <c r="C7" s="11">
        <v>827</v>
      </c>
      <c r="D7" s="11">
        <v>2454</v>
      </c>
      <c r="E7" s="12">
        <v>0.1</v>
      </c>
      <c r="F7" s="17"/>
    </row>
    <row r="8" spans="1:11" x14ac:dyDescent="0.3">
      <c r="A8" t="s">
        <v>66</v>
      </c>
      <c r="B8" s="11">
        <f>B7</f>
        <v>1000</v>
      </c>
      <c r="C8" s="11">
        <f>C7</f>
        <v>827</v>
      </c>
      <c r="D8" s="11">
        <f>D7</f>
        <v>2454</v>
      </c>
      <c r="E8" s="66">
        <f>(B8+C8+D8)*E7</f>
        <v>428.1</v>
      </c>
      <c r="F8" s="17">
        <f>SUM(B8:E8)</f>
        <v>4709.1000000000004</v>
      </c>
    </row>
    <row r="9" spans="1:11" x14ac:dyDescent="0.3">
      <c r="A9" t="s">
        <v>44</v>
      </c>
      <c r="B9" s="13">
        <f>B7*12</f>
        <v>12000</v>
      </c>
      <c r="C9" s="13">
        <f>C7*12</f>
        <v>9924</v>
      </c>
      <c r="D9" s="13">
        <f>D7</f>
        <v>2454</v>
      </c>
      <c r="E9" s="36">
        <f>(B9+C9+D9)*E7</f>
        <v>2437.8000000000002</v>
      </c>
      <c r="F9" s="17">
        <f t="shared" ref="F9" si="0">SUM(B9:E9)</f>
        <v>26815.8</v>
      </c>
    </row>
    <row r="12" spans="1:11" x14ac:dyDescent="0.3">
      <c r="A12" s="27" t="s">
        <v>26</v>
      </c>
      <c r="B12" s="28"/>
      <c r="C12" s="28"/>
      <c r="D12" s="28"/>
      <c r="E12" s="28"/>
      <c r="F12" s="28"/>
    </row>
    <row r="13" spans="1:11" ht="28.8" x14ac:dyDescent="0.3">
      <c r="B13" s="1" t="s">
        <v>19</v>
      </c>
      <c r="C13" s="1" t="s">
        <v>20</v>
      </c>
      <c r="D13" s="1" t="s">
        <v>21</v>
      </c>
      <c r="E13" s="1" t="s">
        <v>22</v>
      </c>
      <c r="F13" s="1" t="s">
        <v>43</v>
      </c>
    </row>
    <row r="14" spans="1:11" ht="115.2" x14ac:dyDescent="0.3">
      <c r="A14" s="14"/>
      <c r="B14" s="63" t="s">
        <v>42</v>
      </c>
      <c r="C14" s="63" t="s">
        <v>24</v>
      </c>
      <c r="D14" s="63" t="s">
        <v>25</v>
      </c>
      <c r="E14" s="63" t="s">
        <v>64</v>
      </c>
      <c r="F14" s="1"/>
    </row>
    <row r="15" spans="1:11" x14ac:dyDescent="0.3">
      <c r="A15" t="s">
        <v>23</v>
      </c>
      <c r="B15" s="64">
        <v>1000</v>
      </c>
      <c r="C15" s="64">
        <v>827</v>
      </c>
      <c r="D15" s="64">
        <v>2454</v>
      </c>
      <c r="E15" s="65">
        <v>0.1</v>
      </c>
      <c r="F15" s="16"/>
    </row>
    <row r="16" spans="1:11" x14ac:dyDescent="0.3">
      <c r="A16" t="s">
        <v>44</v>
      </c>
      <c r="B16" s="17">
        <f>B15*12</f>
        <v>12000</v>
      </c>
      <c r="C16" s="17">
        <f>C15*12</f>
        <v>9924</v>
      </c>
      <c r="D16" s="17">
        <f>D15</f>
        <v>2454</v>
      </c>
      <c r="E16" s="40">
        <f>(B16+C16+D16)*E15</f>
        <v>2437.8000000000002</v>
      </c>
      <c r="F16" s="17">
        <f t="shared" ref="F16" si="1">SUM(B16:E16)</f>
        <v>26815.8</v>
      </c>
    </row>
    <row r="17" spans="1:6" x14ac:dyDescent="0.3">
      <c r="E17" s="35"/>
    </row>
    <row r="18" spans="1:6" x14ac:dyDescent="0.3">
      <c r="A18" s="29" t="s">
        <v>27</v>
      </c>
      <c r="B18" s="21"/>
      <c r="C18" s="21"/>
      <c r="D18" s="21"/>
      <c r="E18" s="21"/>
      <c r="F18" s="21"/>
    </row>
    <row r="19" spans="1:6" ht="28.8" x14ac:dyDescent="0.3">
      <c r="B19" s="1" t="s">
        <v>19</v>
      </c>
      <c r="C19" s="1" t="s">
        <v>20</v>
      </c>
      <c r="D19" s="1" t="s">
        <v>21</v>
      </c>
      <c r="E19" s="1" t="s">
        <v>22</v>
      </c>
      <c r="F19" s="1" t="s">
        <v>43</v>
      </c>
    </row>
    <row r="20" spans="1:6" ht="115.2" x14ac:dyDescent="0.3">
      <c r="A20" s="14"/>
      <c r="B20" s="63" t="s">
        <v>42</v>
      </c>
      <c r="C20" s="63" t="s">
        <v>24</v>
      </c>
      <c r="D20" s="63" t="s">
        <v>25</v>
      </c>
      <c r="E20" s="63" t="s">
        <v>64</v>
      </c>
      <c r="F20" s="1"/>
    </row>
    <row r="21" spans="1:6" x14ac:dyDescent="0.3">
      <c r="A21" t="s">
        <v>23</v>
      </c>
      <c r="B21" s="64">
        <v>1000</v>
      </c>
      <c r="C21" s="64">
        <v>827</v>
      </c>
      <c r="D21" s="64">
        <v>2454</v>
      </c>
      <c r="E21" s="65">
        <v>0.1</v>
      </c>
      <c r="F21" s="16"/>
    </row>
    <row r="22" spans="1:6" x14ac:dyDescent="0.3">
      <c r="A22" t="s">
        <v>44</v>
      </c>
      <c r="B22" s="17">
        <f>B21*12</f>
        <v>12000</v>
      </c>
      <c r="C22" s="17">
        <f>C21*12</f>
        <v>9924</v>
      </c>
      <c r="D22" s="17">
        <f>D21</f>
        <v>2454</v>
      </c>
      <c r="E22" s="40">
        <f>(B22+C22+D22)*E21</f>
        <v>2437.8000000000002</v>
      </c>
      <c r="F22" s="17">
        <f t="shared" ref="F22" si="2">SUM(B22:E22)</f>
        <v>26815.8</v>
      </c>
    </row>
    <row r="24" spans="1:6" x14ac:dyDescent="0.3">
      <c r="A24" s="30" t="s">
        <v>28</v>
      </c>
      <c r="B24" s="22"/>
      <c r="C24" s="22"/>
      <c r="D24" s="22"/>
      <c r="E24" s="22"/>
      <c r="F24" s="22"/>
    </row>
    <row r="25" spans="1:6" ht="28.8" x14ac:dyDescent="0.3">
      <c r="B25" s="1" t="s">
        <v>19</v>
      </c>
      <c r="C25" s="1" t="s">
        <v>20</v>
      </c>
      <c r="D25" s="1" t="s">
        <v>21</v>
      </c>
      <c r="E25" s="1" t="s">
        <v>22</v>
      </c>
      <c r="F25" s="1" t="s">
        <v>43</v>
      </c>
    </row>
    <row r="26" spans="1:6" ht="115.2" x14ac:dyDescent="0.3">
      <c r="A26" s="14"/>
      <c r="B26" s="63" t="s">
        <v>42</v>
      </c>
      <c r="C26" s="63" t="s">
        <v>24</v>
      </c>
      <c r="D26" s="63" t="s">
        <v>25</v>
      </c>
      <c r="E26" s="63" t="s">
        <v>64</v>
      </c>
      <c r="F26" s="1"/>
    </row>
    <row r="27" spans="1:6" x14ac:dyDescent="0.3">
      <c r="A27" t="s">
        <v>23</v>
      </c>
      <c r="B27" s="64">
        <v>1000</v>
      </c>
      <c r="C27" s="64">
        <v>827</v>
      </c>
      <c r="D27" s="64">
        <v>2454</v>
      </c>
      <c r="E27" s="65">
        <v>0.1</v>
      </c>
      <c r="F27" s="16"/>
    </row>
    <row r="28" spans="1:6" x14ac:dyDescent="0.3">
      <c r="A28" t="s">
        <v>44</v>
      </c>
      <c r="B28" s="17">
        <f>B27*12</f>
        <v>12000</v>
      </c>
      <c r="C28" s="17">
        <f>C27*12</f>
        <v>9924</v>
      </c>
      <c r="D28" s="17">
        <f>D27</f>
        <v>2454</v>
      </c>
      <c r="E28" s="40">
        <f>(B28+C28+D28)*E27</f>
        <v>2437.8000000000002</v>
      </c>
      <c r="F28" s="17">
        <f t="shared" ref="F28" si="3">SUM(B28:E28)</f>
        <v>26815.8</v>
      </c>
    </row>
    <row r="30" spans="1:6" x14ac:dyDescent="0.3">
      <c r="A30" s="31" t="s">
        <v>29</v>
      </c>
      <c r="B30" s="23"/>
      <c r="C30" s="23"/>
      <c r="D30" s="23"/>
      <c r="E30" s="23"/>
      <c r="F30" s="23"/>
    </row>
    <row r="31" spans="1:6" ht="28.8" x14ac:dyDescent="0.3">
      <c r="B31" s="1" t="s">
        <v>19</v>
      </c>
      <c r="C31" s="1" t="s">
        <v>20</v>
      </c>
      <c r="D31" s="1" t="s">
        <v>21</v>
      </c>
      <c r="E31" s="1" t="s">
        <v>22</v>
      </c>
      <c r="F31" s="1" t="s">
        <v>43</v>
      </c>
    </row>
    <row r="32" spans="1:6" ht="115.2" x14ac:dyDescent="0.3">
      <c r="A32" s="14"/>
      <c r="B32" s="63" t="s">
        <v>42</v>
      </c>
      <c r="C32" s="63" t="s">
        <v>24</v>
      </c>
      <c r="D32" s="63" t="s">
        <v>25</v>
      </c>
      <c r="E32" s="63" t="s">
        <v>64</v>
      </c>
      <c r="F32" s="1"/>
    </row>
    <row r="33" spans="1:6" x14ac:dyDescent="0.3">
      <c r="A33" t="s">
        <v>23</v>
      </c>
      <c r="B33" s="64">
        <v>1000</v>
      </c>
      <c r="C33" s="64">
        <v>827</v>
      </c>
      <c r="D33" s="64">
        <v>2454</v>
      </c>
      <c r="E33" s="65">
        <v>0.1</v>
      </c>
      <c r="F33" s="16"/>
    </row>
    <row r="34" spans="1:6" x14ac:dyDescent="0.3">
      <c r="A34" t="s">
        <v>44</v>
      </c>
      <c r="B34" s="17">
        <f>B33*12</f>
        <v>12000</v>
      </c>
      <c r="C34" s="17">
        <f>C33*12</f>
        <v>9924</v>
      </c>
      <c r="D34" s="17">
        <f>D33</f>
        <v>2454</v>
      </c>
      <c r="E34" s="40">
        <f>(B34+C34+D34)*E33</f>
        <v>2437.8000000000002</v>
      </c>
      <c r="F34" s="17">
        <f t="shared" ref="F34" si="4">SUM(B34:E34)</f>
        <v>26815.8</v>
      </c>
    </row>
    <row r="36" spans="1:6" x14ac:dyDescent="0.3">
      <c r="A36" s="32" t="s">
        <v>30</v>
      </c>
      <c r="B36" s="24"/>
      <c r="C36" s="24"/>
      <c r="D36" s="24"/>
      <c r="E36" s="24"/>
      <c r="F36" s="24"/>
    </row>
    <row r="37" spans="1:6" ht="28.8" x14ac:dyDescent="0.3">
      <c r="B37" s="1" t="s">
        <v>19</v>
      </c>
      <c r="C37" s="1" t="s">
        <v>20</v>
      </c>
      <c r="D37" s="1" t="s">
        <v>21</v>
      </c>
      <c r="E37" s="1" t="s">
        <v>22</v>
      </c>
      <c r="F37" s="1" t="s">
        <v>43</v>
      </c>
    </row>
    <row r="38" spans="1:6" ht="115.2" x14ac:dyDescent="0.3">
      <c r="A38" s="14"/>
      <c r="B38" s="63" t="s">
        <v>42</v>
      </c>
      <c r="C38" s="63" t="s">
        <v>24</v>
      </c>
      <c r="D38" s="63" t="s">
        <v>25</v>
      </c>
      <c r="E38" s="63" t="s">
        <v>64</v>
      </c>
      <c r="F38" s="1"/>
    </row>
    <row r="39" spans="1:6" x14ac:dyDescent="0.3">
      <c r="A39" t="s">
        <v>23</v>
      </c>
      <c r="B39" s="64">
        <v>1000</v>
      </c>
      <c r="C39" s="64">
        <v>827</v>
      </c>
      <c r="D39" s="64">
        <v>2454</v>
      </c>
      <c r="E39" s="65">
        <v>0.1</v>
      </c>
      <c r="F39" s="16"/>
    </row>
    <row r="40" spans="1:6" x14ac:dyDescent="0.3">
      <c r="A40" t="s">
        <v>44</v>
      </c>
      <c r="B40" s="17">
        <f>B39*12</f>
        <v>12000</v>
      </c>
      <c r="C40" s="17">
        <f>C39*12</f>
        <v>9924</v>
      </c>
      <c r="D40" s="17">
        <f>D39</f>
        <v>2454</v>
      </c>
      <c r="E40" s="40">
        <f>(B40+C40+D40)*E39</f>
        <v>2437.8000000000002</v>
      </c>
      <c r="F40" s="17">
        <f t="shared" ref="F40" si="5">SUM(B40:E40)</f>
        <v>26815.8</v>
      </c>
    </row>
    <row r="42" spans="1:6" x14ac:dyDescent="0.3">
      <c r="A42" s="33" t="s">
        <v>31</v>
      </c>
      <c r="B42" s="25"/>
      <c r="C42" s="25"/>
      <c r="D42" s="25"/>
      <c r="E42" s="25"/>
      <c r="F42" s="25"/>
    </row>
    <row r="43" spans="1:6" ht="28.8" x14ac:dyDescent="0.3">
      <c r="B43" s="1" t="s">
        <v>19</v>
      </c>
      <c r="C43" s="1" t="s">
        <v>20</v>
      </c>
      <c r="D43" s="1" t="s">
        <v>21</v>
      </c>
      <c r="E43" s="1" t="s">
        <v>22</v>
      </c>
      <c r="F43" s="1" t="s">
        <v>43</v>
      </c>
    </row>
    <row r="44" spans="1:6" ht="115.2" x14ac:dyDescent="0.3">
      <c r="A44" s="14"/>
      <c r="B44" s="63" t="s">
        <v>42</v>
      </c>
      <c r="C44" s="63" t="s">
        <v>24</v>
      </c>
      <c r="D44" s="63" t="s">
        <v>25</v>
      </c>
      <c r="E44" s="63" t="s">
        <v>64</v>
      </c>
      <c r="F44" s="1"/>
    </row>
    <row r="45" spans="1:6" x14ac:dyDescent="0.3">
      <c r="A45" t="s">
        <v>23</v>
      </c>
      <c r="B45" s="64">
        <v>1000</v>
      </c>
      <c r="C45" s="64">
        <v>827</v>
      </c>
      <c r="D45" s="64">
        <v>2454</v>
      </c>
      <c r="E45" s="65">
        <v>0.1</v>
      </c>
      <c r="F45" s="16"/>
    </row>
    <row r="46" spans="1:6" x14ac:dyDescent="0.3">
      <c r="A46" t="s">
        <v>44</v>
      </c>
      <c r="B46" s="17">
        <f>B45*12</f>
        <v>12000</v>
      </c>
      <c r="C46" s="17">
        <f>C45*12</f>
        <v>9924</v>
      </c>
      <c r="D46" s="17">
        <f>D45</f>
        <v>2454</v>
      </c>
      <c r="E46" s="40">
        <f>(B46+C46+D46)*E45</f>
        <v>2437.8000000000002</v>
      </c>
      <c r="F46" s="17">
        <f t="shared" ref="F46" si="6">SUM(B46:E46)</f>
        <v>26815.8</v>
      </c>
    </row>
    <row r="48" spans="1:6" x14ac:dyDescent="0.3">
      <c r="A48" s="34" t="s">
        <v>32</v>
      </c>
      <c r="B48" s="26"/>
      <c r="C48" s="26"/>
      <c r="D48" s="26"/>
      <c r="E48" s="26"/>
      <c r="F48" s="26"/>
    </row>
    <row r="49" spans="1:6" ht="28.8" x14ac:dyDescent="0.3">
      <c r="B49" s="1" t="s">
        <v>19</v>
      </c>
      <c r="C49" s="1" t="s">
        <v>20</v>
      </c>
      <c r="D49" s="1" t="s">
        <v>21</v>
      </c>
      <c r="E49" s="1" t="s">
        <v>22</v>
      </c>
      <c r="F49" s="1" t="s">
        <v>43</v>
      </c>
    </row>
    <row r="50" spans="1:6" ht="115.2" x14ac:dyDescent="0.3">
      <c r="A50" s="14"/>
      <c r="B50" s="63" t="s">
        <v>42</v>
      </c>
      <c r="C50" s="63" t="s">
        <v>24</v>
      </c>
      <c r="D50" s="63" t="s">
        <v>25</v>
      </c>
      <c r="E50" s="63" t="s">
        <v>64</v>
      </c>
      <c r="F50" s="1"/>
    </row>
    <row r="51" spans="1:6" x14ac:dyDescent="0.3">
      <c r="A51" t="s">
        <v>23</v>
      </c>
      <c r="B51" s="64">
        <v>1000</v>
      </c>
      <c r="C51" s="64">
        <v>827</v>
      </c>
      <c r="D51" s="64">
        <v>2454</v>
      </c>
      <c r="E51" s="65">
        <v>0.1</v>
      </c>
      <c r="F51" s="16"/>
    </row>
    <row r="52" spans="1:6" x14ac:dyDescent="0.3">
      <c r="A52" t="s">
        <v>44</v>
      </c>
      <c r="B52" s="17">
        <f>B51*12</f>
        <v>12000</v>
      </c>
      <c r="C52" s="17">
        <f>C51*12</f>
        <v>9924</v>
      </c>
      <c r="D52" s="17">
        <f>D51</f>
        <v>2454</v>
      </c>
      <c r="E52" s="40">
        <f>(B52+C52+D52)*E51</f>
        <v>2437.8000000000002</v>
      </c>
      <c r="F52" s="17">
        <f t="shared" ref="F52" si="7">SUM(B52:E52)</f>
        <v>26815.8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topLeftCell="A4" workbookViewId="0">
      <selection activeCell="J5" sqref="J5"/>
    </sheetView>
  </sheetViews>
  <sheetFormatPr defaultRowHeight="14.4" x14ac:dyDescent="0.3"/>
  <cols>
    <col min="1" max="3" width="17.6640625" customWidth="1"/>
    <col min="4" max="5" width="17.77734375" customWidth="1"/>
    <col min="6" max="6" width="14.5546875" customWidth="1"/>
    <col min="7" max="7" width="12.21875" customWidth="1"/>
    <col min="10" max="10" width="11" customWidth="1"/>
  </cols>
  <sheetData>
    <row r="1" spans="1:10" x14ac:dyDescent="0.3">
      <c r="A1" t="s">
        <v>63</v>
      </c>
    </row>
    <row r="2" spans="1:10" x14ac:dyDescent="0.3">
      <c r="A2" s="39" t="s">
        <v>58</v>
      </c>
      <c r="B2" s="39"/>
      <c r="C2" s="41" t="s">
        <v>59</v>
      </c>
      <c r="D2" s="41"/>
      <c r="E2" s="41"/>
      <c r="F2" s="42" t="s">
        <v>60</v>
      </c>
      <c r="G2" s="42"/>
      <c r="H2" s="42"/>
      <c r="I2" s="42"/>
      <c r="J2" s="42"/>
    </row>
    <row r="3" spans="1:10" s="43" customFormat="1" ht="33.450000000000003" customHeight="1" x14ac:dyDescent="0.3"/>
    <row r="4" spans="1:10" s="1" customFormat="1" ht="57.6" x14ac:dyDescent="0.3">
      <c r="A4" s="45" t="s">
        <v>0</v>
      </c>
      <c r="B4" s="45" t="s">
        <v>57</v>
      </c>
      <c r="C4" s="45" t="s">
        <v>55</v>
      </c>
      <c r="D4" s="46" t="s">
        <v>47</v>
      </c>
      <c r="E4" s="46" t="s">
        <v>50</v>
      </c>
      <c r="F4" s="45" t="s">
        <v>54</v>
      </c>
      <c r="G4" s="45" t="s">
        <v>48</v>
      </c>
      <c r="H4" s="45" t="s">
        <v>49</v>
      </c>
    </row>
    <row r="5" spans="1:10" s="1" customFormat="1" ht="73.05" customHeight="1" x14ac:dyDescent="0.3">
      <c r="A5" s="45"/>
      <c r="B5" s="45" t="s">
        <v>45</v>
      </c>
      <c r="C5" s="45" t="s">
        <v>56</v>
      </c>
      <c r="D5" s="46" t="s">
        <v>46</v>
      </c>
      <c r="E5" s="46" t="s">
        <v>51</v>
      </c>
      <c r="F5" s="45" t="s">
        <v>52</v>
      </c>
      <c r="G5" s="45"/>
      <c r="H5" s="45"/>
    </row>
    <row r="6" spans="1:10" x14ac:dyDescent="0.3">
      <c r="A6" s="47" t="s">
        <v>2</v>
      </c>
      <c r="B6" s="48">
        <f>'Total # By Region who need PSH'!J5</f>
        <v>321.30603448275861</v>
      </c>
      <c r="C6" s="49">
        <f>B6/B13</f>
        <v>8.4761635234868404E-2</v>
      </c>
      <c r="D6" s="50">
        <f>'PSH Cost Assumptions'!F16</f>
        <v>26815.8</v>
      </c>
      <c r="E6" s="51">
        <f>B6*D6</f>
        <v>8616078.3594827577</v>
      </c>
      <c r="F6" s="52">
        <f>E6/E13</f>
        <v>8.4761635234868404E-2</v>
      </c>
      <c r="G6" s="53"/>
      <c r="H6" s="53"/>
    </row>
    <row r="7" spans="1:10" x14ac:dyDescent="0.3">
      <c r="A7" s="54" t="s">
        <v>3</v>
      </c>
      <c r="B7" s="48">
        <f>'Total # By Region who need PSH'!J6</f>
        <v>136.4894366197183</v>
      </c>
      <c r="C7" s="49">
        <f>B7/B13</f>
        <v>3.6006382073705039E-2</v>
      </c>
      <c r="D7" s="50">
        <f>'PSH Cost Assumptions'!F22</f>
        <v>26815.8</v>
      </c>
      <c r="E7" s="51">
        <f t="shared" ref="E7:E12" si="0">B7*D7</f>
        <v>3660073.4345070422</v>
      </c>
      <c r="F7" s="52">
        <f>E7/E13</f>
        <v>3.6006382073705039E-2</v>
      </c>
      <c r="G7" s="53"/>
      <c r="H7" s="53"/>
    </row>
    <row r="8" spans="1:10" x14ac:dyDescent="0.3">
      <c r="A8" s="55" t="s">
        <v>4</v>
      </c>
      <c r="B8" s="48">
        <f>'Total # By Region who need PSH'!J7</f>
        <v>284.20245398773005</v>
      </c>
      <c r="C8" s="49">
        <f>B8/B13</f>
        <v>7.4973583289656809E-2</v>
      </c>
      <c r="D8" s="50">
        <f>'PSH Cost Assumptions'!F28</f>
        <v>26815.8</v>
      </c>
      <c r="E8" s="51">
        <f t="shared" si="0"/>
        <v>7621116.1656441716</v>
      </c>
      <c r="F8" s="52">
        <f>E8/E13</f>
        <v>7.4973583289656809E-2</v>
      </c>
      <c r="G8" s="53"/>
      <c r="H8" s="53"/>
    </row>
    <row r="9" spans="1:10" x14ac:dyDescent="0.3">
      <c r="A9" s="56" t="s">
        <v>5</v>
      </c>
      <c r="B9" s="48">
        <f>'Total # By Region who need PSH'!J8</f>
        <v>845.02168949771692</v>
      </c>
      <c r="C9" s="49">
        <f>B9/B13</f>
        <v>0.22291962342400748</v>
      </c>
      <c r="D9" s="50">
        <f>'PSH Cost Assumptions'!F34</f>
        <v>26815.8</v>
      </c>
      <c r="E9" s="51">
        <f t="shared" si="0"/>
        <v>22659932.621232878</v>
      </c>
      <c r="F9" s="52">
        <f>E9/E13</f>
        <v>0.22291962342400751</v>
      </c>
      <c r="G9" s="53"/>
      <c r="H9" s="53"/>
    </row>
    <row r="10" spans="1:10" x14ac:dyDescent="0.3">
      <c r="A10" s="57" t="s">
        <v>6</v>
      </c>
      <c r="B10" s="48">
        <f>'Total # By Region who need PSH'!J9</f>
        <v>712.35792019347036</v>
      </c>
      <c r="C10" s="49">
        <f>B10/B13</f>
        <v>0.18792246552514866</v>
      </c>
      <c r="D10" s="50">
        <f>'PSH Cost Assumptions'!F40</f>
        <v>26815.8</v>
      </c>
      <c r="E10" s="51">
        <f t="shared" si="0"/>
        <v>19102447.516324062</v>
      </c>
      <c r="F10" s="52">
        <f>E10/E13</f>
        <v>0.18792246552514866</v>
      </c>
      <c r="G10" s="53"/>
      <c r="H10" s="53"/>
    </row>
    <row r="11" spans="1:10" x14ac:dyDescent="0.3">
      <c r="A11" s="58" t="s">
        <v>7</v>
      </c>
      <c r="B11" s="48">
        <f>'Total # By Region who need PSH'!J10</f>
        <v>598.45272206303719</v>
      </c>
      <c r="C11" s="49">
        <f>B11/B13</f>
        <v>0.15787388311732192</v>
      </c>
      <c r="D11" s="50">
        <f>'PSH Cost Assumptions'!F46</f>
        <v>26815.8</v>
      </c>
      <c r="E11" s="51">
        <f t="shared" si="0"/>
        <v>16047988.504297992</v>
      </c>
      <c r="F11" s="52">
        <f>E11/E13</f>
        <v>0.15787388311732192</v>
      </c>
      <c r="G11" s="53"/>
      <c r="H11" s="53"/>
    </row>
    <row r="12" spans="1:10" x14ac:dyDescent="0.3">
      <c r="A12" s="59" t="s">
        <v>8</v>
      </c>
      <c r="B12" s="48">
        <f>'Total # By Region who need PSH'!J11</f>
        <v>892.87096774193537</v>
      </c>
      <c r="C12" s="49">
        <f>B12/B13</f>
        <v>0.23554242733529163</v>
      </c>
      <c r="D12" s="50">
        <f>'PSH Cost Assumptions'!F52</f>
        <v>26815.8</v>
      </c>
      <c r="E12" s="51">
        <f t="shared" si="0"/>
        <v>23943049.29677419</v>
      </c>
      <c r="F12" s="52">
        <f>E12/E13</f>
        <v>0.23554242733529163</v>
      </c>
      <c r="G12" s="53"/>
      <c r="H12" s="53"/>
    </row>
    <row r="13" spans="1:10" x14ac:dyDescent="0.3">
      <c r="A13" s="53" t="s">
        <v>53</v>
      </c>
      <c r="B13" s="60">
        <f>SUM(B6:B12)</f>
        <v>3790.7012245863671</v>
      </c>
      <c r="C13" s="61"/>
      <c r="D13" s="53"/>
      <c r="E13" s="51">
        <f>SUM(E6:E12)</f>
        <v>101650685.8982631</v>
      </c>
      <c r="F13" s="53"/>
      <c r="G13" s="53"/>
      <c r="H13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# By Region who need PSH</vt:lpstr>
      <vt:lpstr>PSH Cost Assumptions</vt:lpstr>
      <vt:lpstr>Cost to Serve Total # for PSH</vt:lpstr>
    </vt:vector>
  </TitlesOfParts>
  <Company>CSH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Starrett</dc:creator>
  <cp:lastModifiedBy>Vail, Jessica (MSHDA)</cp:lastModifiedBy>
  <dcterms:created xsi:type="dcterms:W3CDTF">2020-09-30T14:38:46Z</dcterms:created>
  <dcterms:modified xsi:type="dcterms:W3CDTF">2021-01-19T15:52:09Z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VailJ1@michigan.gov</vt:lpwstr>
  </property>
  <property fmtid="{D5CDD505-2E9C-101B-9397-08002B2CF9AE}" pid="5" name="MSIP_Label_3a2fed65-62e7-46ea-af74-187e0c17143a_SetDate">
    <vt:lpwstr>2021-01-19T15:51:56.4428625Z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09401460-294d-437b-a19e-ced25fda6db5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